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drive_mydocuments\cps\ev\"/>
    </mc:Choice>
  </mc:AlternateContent>
  <bookViews>
    <workbookView xWindow="0" yWindow="0" windowWidth="23040" windowHeight="9408"/>
  </bookViews>
  <sheets>
    <sheet name="Lifetime cost" sheetId="1" r:id="rId1"/>
    <sheet name="Maintenance cost factors" sheetId="2" r:id="rId2"/>
  </sheets>
  <calcPr calcId="152511" iterate="1" iterateCount="20" iterateDelta="5.000000000000000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B15" i="1"/>
  <c r="B19" i="1"/>
  <c r="H4" i="1" s="1"/>
  <c r="I4" i="1" s="1"/>
  <c r="H3" i="1"/>
  <c r="H6" i="1"/>
  <c r="I6" i="1" s="1"/>
  <c r="H2" i="1"/>
  <c r="I2" i="1" s="1"/>
  <c r="B18" i="1"/>
  <c r="D4" i="2"/>
  <c r="E6" i="1"/>
  <c r="E3" i="1"/>
  <c r="E5" i="1"/>
  <c r="E4" i="1"/>
  <c r="E2" i="1"/>
  <c r="D3" i="2"/>
  <c r="D2" i="2"/>
  <c r="B14" i="1"/>
  <c r="H9" i="1" l="1"/>
  <c r="H5" i="1"/>
  <c r="I5" i="1" s="1"/>
  <c r="E4" i="2"/>
  <c r="C4" i="1" s="1"/>
  <c r="E3" i="2"/>
  <c r="C6" i="1" s="1"/>
  <c r="D6" i="1" s="1"/>
  <c r="H8" i="1" l="1"/>
  <c r="H11" i="1" s="1"/>
  <c r="C2" i="1"/>
  <c r="D2" i="1" s="1"/>
  <c r="C5" i="1"/>
  <c r="D5" i="1" s="1"/>
  <c r="C3" i="1"/>
  <c r="D3" i="1" s="1"/>
  <c r="D4" i="1"/>
  <c r="H10" i="1" l="1"/>
  <c r="C8" i="1"/>
  <c r="C9" i="1"/>
  <c r="C10" i="1" l="1"/>
</calcChain>
</file>

<file path=xl/sharedStrings.xml><?xml version="1.0" encoding="utf-8"?>
<sst xmlns="http://schemas.openxmlformats.org/spreadsheetml/2006/main" count="42" uniqueCount="40">
  <si>
    <t>Car</t>
  </si>
  <si>
    <t>Chevy Bolt</t>
  </si>
  <si>
    <t>Cost after incentives</t>
  </si>
  <si>
    <t>Lifetime cost</t>
  </si>
  <si>
    <t>mi/day</t>
  </si>
  <si>
    <t>Average use</t>
  </si>
  <si>
    <t>mi/yr</t>
  </si>
  <si>
    <t>Cost of electricity</t>
  </si>
  <si>
    <t>Cost of gas</t>
  </si>
  <si>
    <t>$/kwh</t>
  </si>
  <si>
    <t>$/gal</t>
  </si>
  <si>
    <t>Fuel cost</t>
  </si>
  <si>
    <t>Lifetime</t>
  </si>
  <si>
    <t>miles</t>
  </si>
  <si>
    <t>mi/kwh</t>
  </si>
  <si>
    <t>mi/gal</t>
  </si>
  <si>
    <t>Toyota Camry</t>
  </si>
  <si>
    <t>Maintenance item</t>
  </si>
  <si>
    <t>Tires</t>
  </si>
  <si>
    <t>Tesla 3 standard</t>
  </si>
  <si>
    <t>Hyundai Kona</t>
  </si>
  <si>
    <t>Cost</t>
  </si>
  <si>
    <t>lifetime</t>
  </si>
  <si>
    <t>Total</t>
  </si>
  <si>
    <t xml:space="preserve"> </t>
  </si>
  <si>
    <t>Toyota Prius Prime</t>
  </si>
  <si>
    <t>Best</t>
  </si>
  <si>
    <t>Worst</t>
  </si>
  <si>
    <t>Difference</t>
  </si>
  <si>
    <t>Misc ICE</t>
  </si>
  <si>
    <t>Misc BEV</t>
  </si>
  <si>
    <t>Lifetime cost/mi</t>
  </si>
  <si>
    <t>GHG gas</t>
  </si>
  <si>
    <t>mT/gal</t>
  </si>
  <si>
    <t>GHG electric off-peak</t>
  </si>
  <si>
    <t>mT/kwh</t>
  </si>
  <si>
    <t>GHG mTons</t>
  </si>
  <si>
    <t>% improvement</t>
  </si>
  <si>
    <t>Years lifetime</t>
  </si>
  <si>
    <t>GHG Mt/yr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</si>
</sst>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6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13" sqref="B13"/>
    </sheetView>
  </sheetViews>
  <sheetFormatPr defaultRowHeight="14.4" x14ac:dyDescent="0.3"/>
  <cols>
    <col min="1" max="1" width="17.6640625" customWidth="1"/>
    <col min="2" max="2" width="9.88671875" customWidth="1"/>
    <col min="3" max="3" width="11.5546875" bestFit="1" customWidth="1"/>
    <col min="4" max="4" width="11.5546875" customWidth="1"/>
    <col min="5" max="5" width="10.5546875" bestFit="1" customWidth="1"/>
  </cols>
  <sheetData>
    <row r="1" spans="1:9" ht="28.8" x14ac:dyDescent="0.3">
      <c r="A1" s="6" t="s">
        <v>0</v>
      </c>
      <c r="B1" s="7" t="s">
        <v>2</v>
      </c>
      <c r="C1" s="6" t="s">
        <v>3</v>
      </c>
      <c r="D1" s="7" t="s">
        <v>31</v>
      </c>
      <c r="E1" s="6" t="s">
        <v>11</v>
      </c>
      <c r="F1" s="6" t="s">
        <v>14</v>
      </c>
      <c r="G1" s="6" t="s">
        <v>15</v>
      </c>
      <c r="H1" s="7" t="s">
        <v>36</v>
      </c>
      <c r="I1" s="7" t="s">
        <v>39</v>
      </c>
    </row>
    <row r="2" spans="1:9" x14ac:dyDescent="0.3">
      <c r="A2" t="s">
        <v>1</v>
      </c>
      <c r="B2" s="2">
        <v>32745</v>
      </c>
      <c r="C2" s="1">
        <f>B2+E2+'Maintenance cost factors'!$E$4</f>
        <v>42299.245312795909</v>
      </c>
      <c r="D2" s="1">
        <f>C2/$B$12</f>
        <v>0.28199496875197272</v>
      </c>
      <c r="E2" s="1">
        <f>$B$12/F2*$B$16</f>
        <v>6428.5714285714284</v>
      </c>
      <c r="F2">
        <v>3.5</v>
      </c>
      <c r="H2" s="8">
        <f>($B$12/F2*$B$19)</f>
        <v>7.6285714285714281</v>
      </c>
      <c r="I2">
        <f>H2/$B$15</f>
        <v>0.57544857142857142</v>
      </c>
    </row>
    <row r="3" spans="1:9" x14ac:dyDescent="0.3">
      <c r="A3" t="s">
        <v>16</v>
      </c>
      <c r="B3" s="2">
        <v>30000</v>
      </c>
      <c r="C3" s="1">
        <f>B3+E3+'Maintenance cost factors'!$E$3</f>
        <v>55836.361340824442</v>
      </c>
      <c r="D3" s="1">
        <f t="shared" ref="D3:D6" si="0">C3/$B$12</f>
        <v>0.37224240893882959</v>
      </c>
      <c r="E3" s="1">
        <f>$B$12/G3*$B$17</f>
        <v>17142.857142857141</v>
      </c>
      <c r="G3">
        <v>35</v>
      </c>
      <c r="H3" s="8">
        <f>($B$12/G3*$B$18)</f>
        <v>36.773999999999994</v>
      </c>
      <c r="I3">
        <f t="shared" ref="I3:I6" si="1">H3/$B$15</f>
        <v>2.7739853999999995</v>
      </c>
    </row>
    <row r="4" spans="1:9" x14ac:dyDescent="0.3">
      <c r="A4" t="s">
        <v>19</v>
      </c>
      <c r="B4" s="2">
        <v>35615</v>
      </c>
      <c r="C4" s="1">
        <f>B4+E4+'Maintenance cost factors'!$E$4</f>
        <v>45169.245312795909</v>
      </c>
      <c r="D4" s="1">
        <f t="shared" si="0"/>
        <v>0.30112830208530605</v>
      </c>
      <c r="E4" s="1">
        <f>$B$12/F4*$B$16</f>
        <v>6428.5714285714284</v>
      </c>
      <c r="F4">
        <v>3.5</v>
      </c>
      <c r="H4" s="8">
        <f>($B$12/F4*$B$19)</f>
        <v>7.6285714285714281</v>
      </c>
      <c r="I4">
        <f t="shared" si="1"/>
        <v>0.57544857142857142</v>
      </c>
    </row>
    <row r="5" spans="1:9" x14ac:dyDescent="0.3">
      <c r="A5" t="s">
        <v>20</v>
      </c>
      <c r="B5" s="2">
        <v>27995</v>
      </c>
      <c r="C5" s="1">
        <f>B5+E5+'Maintenance cost factors'!$E$4</f>
        <v>37549.245312795909</v>
      </c>
      <c r="D5" s="1">
        <f t="shared" si="0"/>
        <v>0.25032830208530604</v>
      </c>
      <c r="E5" s="1">
        <f>$B$12/F5*$B$16</f>
        <v>6428.5714285714284</v>
      </c>
      <c r="F5">
        <v>3.5</v>
      </c>
      <c r="H5" s="8">
        <f>($B$12/F5*$B$19)</f>
        <v>7.6285714285714281</v>
      </c>
      <c r="I5">
        <f t="shared" si="1"/>
        <v>0.57544857142857142</v>
      </c>
    </row>
    <row r="6" spans="1:9" x14ac:dyDescent="0.3">
      <c r="A6" t="s">
        <v>25</v>
      </c>
      <c r="B6" s="2">
        <v>27050</v>
      </c>
      <c r="C6" s="1">
        <f>B6+E6+'Maintenance cost factors'!$E$3</f>
        <v>47064.258914948427</v>
      </c>
      <c r="D6" s="1">
        <f t="shared" si="0"/>
        <v>0.31376172609965619</v>
      </c>
      <c r="E6" s="1">
        <f>$B$12/G6*$B$17</f>
        <v>11320.754716981131</v>
      </c>
      <c r="G6">
        <v>53</v>
      </c>
      <c r="H6" s="8">
        <f>($B$12/G6*$B$18)</f>
        <v>24.284716981132071</v>
      </c>
      <c r="I6">
        <f t="shared" si="1"/>
        <v>1.831877150943396</v>
      </c>
    </row>
    <row r="7" spans="1:9" x14ac:dyDescent="0.3">
      <c r="H7" s="5"/>
    </row>
    <row r="8" spans="1:9" x14ac:dyDescent="0.3">
      <c r="A8" t="s">
        <v>26</v>
      </c>
      <c r="C8" s="1">
        <f>MIN(C2:C6)</f>
        <v>37549.245312795909</v>
      </c>
      <c r="H8" s="9">
        <f>MIN(H2:H6)</f>
        <v>7.6285714285714281</v>
      </c>
    </row>
    <row r="9" spans="1:9" x14ac:dyDescent="0.3">
      <c r="A9" t="s">
        <v>27</v>
      </c>
      <c r="C9" s="1">
        <f>MAX(C2:C6)</f>
        <v>55836.361340824442</v>
      </c>
      <c r="H9" s="9">
        <f>MAX(H2:H6)</f>
        <v>36.773999999999994</v>
      </c>
    </row>
    <row r="10" spans="1:9" x14ac:dyDescent="0.3">
      <c r="A10" t="s">
        <v>28</v>
      </c>
      <c r="C10" s="1">
        <f>C9-C8</f>
        <v>18287.116028028533</v>
      </c>
      <c r="H10" s="9">
        <f>H9-H8</f>
        <v>29.145428571428567</v>
      </c>
    </row>
    <row r="11" spans="1:9" x14ac:dyDescent="0.3">
      <c r="A11" s="5" t="s">
        <v>37</v>
      </c>
      <c r="C11" t="s">
        <v>24</v>
      </c>
      <c r="D11" t="s">
        <v>24</v>
      </c>
      <c r="H11" s="4">
        <f>1-(H8/H9)</f>
        <v>0.79255529916322864</v>
      </c>
    </row>
    <row r="12" spans="1:9" x14ac:dyDescent="0.3">
      <c r="A12" t="s">
        <v>12</v>
      </c>
      <c r="B12" s="3">
        <v>150000</v>
      </c>
      <c r="C12" t="s">
        <v>13</v>
      </c>
    </row>
    <row r="13" spans="1:9" x14ac:dyDescent="0.3">
      <c r="A13" t="s">
        <v>5</v>
      </c>
      <c r="B13">
        <v>31</v>
      </c>
      <c r="C13" t="s">
        <v>4</v>
      </c>
    </row>
    <row r="14" spans="1:9" x14ac:dyDescent="0.3">
      <c r="B14" s="3">
        <f>B13*365</f>
        <v>11315</v>
      </c>
      <c r="C14" t="s">
        <v>6</v>
      </c>
    </row>
    <row r="15" spans="1:9" x14ac:dyDescent="0.3">
      <c r="A15" t="s">
        <v>38</v>
      </c>
      <c r="B15" s="3">
        <f>B12/B14</f>
        <v>13.256738842244808</v>
      </c>
    </row>
    <row r="16" spans="1:9" x14ac:dyDescent="0.3">
      <c r="A16" t="s">
        <v>7</v>
      </c>
      <c r="B16" s="1">
        <v>0.15</v>
      </c>
      <c r="C16" t="s">
        <v>9</v>
      </c>
    </row>
    <row r="17" spans="1:3" x14ac:dyDescent="0.3">
      <c r="A17" t="s">
        <v>8</v>
      </c>
      <c r="B17" s="2">
        <v>4</v>
      </c>
      <c r="C17" t="s">
        <v>10</v>
      </c>
    </row>
    <row r="18" spans="1:3" x14ac:dyDescent="0.3">
      <c r="A18" t="s">
        <v>32</v>
      </c>
      <c r="B18">
        <f>18.9*0.000454</f>
        <v>8.580599999999999E-3</v>
      </c>
      <c r="C18" t="s">
        <v>33</v>
      </c>
    </row>
    <row r="19" spans="1:3" ht="28.8" x14ac:dyDescent="0.3">
      <c r="A19" s="5" t="s">
        <v>34</v>
      </c>
      <c r="B19">
        <f>0.178/1000</f>
        <v>1.7799999999999999E-4</v>
      </c>
      <c r="C19" t="s">
        <v>35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3" sqref="D3:D4"/>
    </sheetView>
  </sheetViews>
  <sheetFormatPr defaultRowHeight="14.4" x14ac:dyDescent="0.3"/>
  <cols>
    <col min="1" max="1" width="24.44140625" customWidth="1"/>
    <col min="4" max="4" width="11.5546875" bestFit="1" customWidth="1"/>
    <col min="5" max="5" width="9.5546875" bestFit="1" customWidth="1"/>
  </cols>
  <sheetData>
    <row r="1" spans="1:5" x14ac:dyDescent="0.3">
      <c r="A1" t="s">
        <v>17</v>
      </c>
      <c r="B1" t="s">
        <v>21</v>
      </c>
      <c r="C1" t="s">
        <v>22</v>
      </c>
      <c r="D1" s="5" t="s">
        <v>3</v>
      </c>
      <c r="E1" t="s">
        <v>23</v>
      </c>
    </row>
    <row r="2" spans="1:5" x14ac:dyDescent="0.3">
      <c r="A2" t="s">
        <v>18</v>
      </c>
      <c r="B2" s="2">
        <v>600</v>
      </c>
      <c r="C2">
        <v>50000</v>
      </c>
      <c r="D2" s="2">
        <f>'Lifetime cost'!B12/'Maintenance cost factors'!C2*'Maintenance cost factors'!B2</f>
        <v>1800</v>
      </c>
    </row>
    <row r="3" spans="1:5" x14ac:dyDescent="0.3">
      <c r="A3" t="s">
        <v>29</v>
      </c>
      <c r="B3" s="2">
        <v>520</v>
      </c>
      <c r="D3" s="2">
        <f>'Lifetime cost'!B12/'Lifetime cost'!B14*'Maintenance cost factors'!B3</f>
        <v>6893.5041979672997</v>
      </c>
      <c r="E3" s="2">
        <f>SUM(D2:D3)</f>
        <v>8693.5041979673006</v>
      </c>
    </row>
    <row r="4" spans="1:5" x14ac:dyDescent="0.3">
      <c r="A4" t="s">
        <v>30</v>
      </c>
      <c r="B4" s="2">
        <v>100</v>
      </c>
      <c r="D4" s="2">
        <f>'Lifetime cost'!B12/'Lifetime cost'!B14*'Maintenance cost factors'!B4</f>
        <v>1325.6738842244808</v>
      </c>
      <c r="E4" s="2">
        <f>D2+D4</f>
        <v>3125.6738842244808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Lifetime cost</vt:lpstr>
      <vt:lpstr>Maintenance cost factors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Rust</dc:creator>
  <cp:lastModifiedBy>Tom Rust</cp:lastModifiedBy>
  <cp:lastPrinted>2019-12-05T18:36:25Z</cp:lastPrinted>
  <dcterms:created xsi:type="dcterms:W3CDTF">2019-12-05T01:10:13Z</dcterms:created>
  <dcterms:modified xsi:type="dcterms:W3CDTF">2019-12-05T18:42:50Z</dcterms:modified>
</cp:coreProperties>
</file>